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<sst xmlns="http://schemas.openxmlformats.org/spreadsheetml/2006/main" count="1478" uniqueCount="307">
  <si>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</si>
  <si>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</si>
  <si>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</si>
  <si>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</si>
  <si>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</si>
  <si>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</si>
  <si>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</si>
  <si>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</si>
  <si>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</si>
  <si>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</si>
  <si>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</si>
  <si>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</si>
  <si>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</si>
  <si>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</si>
  <si>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</si>
  <si>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</si>
  <si>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</si>
  <si>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</si>
  <si>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</si>
  <si>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</si>
  <si>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</si>
  <si>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</si>
  <si>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</si>
  <si>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</si>
  <si>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</si>
  <si>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</si>
  <si>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</si>
  <si>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</si>
  <si>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</si>
  <si>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</si>
  <si>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</si>
  <si>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</si>
  <si>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</si>
  <si>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</si>
  <si>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</si>
  <si>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</si>
  <si>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</si>
  <si>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</si>
  <si>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</si>
  <si>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</si>
  <si>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</si>
  <si>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</si>
  <si>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</si>
  <si>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</si>
  <si>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</si>
  <si>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</si>
  <si>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</si>
  <si>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</si>
  <si>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</si>
  <si>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</si>
  <si>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</si>
  <si>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</si>
  <si>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</si>
  <si>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</si>
  <si>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</si>
  <si>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</si>
  <si>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</si>
  <si>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</si>
  <si>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</si>
  <si>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</si>
  <si>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</si>
  <si>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</si>
  <si>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</si>
  <si>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</si>
  <si>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</si>
  <si>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</si>
  <si>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</si>
  <si>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</si>
  <si>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</si>
  <si>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</si>
  <si>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</si>
  <si>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</si>
  <si>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</si>
  <si>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</si>
  <si>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</si>
  <si>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</si>
  <si>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</si>
  <si>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</si>
  <si>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</si>
  <si>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</si>
  <si>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</si>
  <si>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</si>
  <si>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</si>
  <si>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</si>
  <si>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</si>
  <si>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</si>
  <si>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</si>
  <si>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</si>
  <si>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</si>
  <si>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</si>
  <si>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</si>
  <si>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</si>
  <si>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</si>
  <si>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</si>
  <si>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</si>
  <si>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</si>
  <si>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</si>
  <si>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</si>
  <si>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</si>
  <si>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</si>
  <si>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</si>
  <si>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</si>
  <si>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</si>
  <si>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</si>
  <si>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</si>
  <si>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</si>
  <si>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</si>
  <si>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</si>
  <si>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</si>
  <si>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</si>
  <si>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</si>
  <si>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</si>
  <si>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</si>
  <si>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</si>
  <si>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</si>
  <si>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</si>
  <si>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</si>
  <si>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</si>
  <si>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</si>
  <si>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</si>
  <si>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</si>
  <si>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</si>
  <si>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</si>
  <si>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</si>
  <si>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</si>
  <si>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</si>
  <si>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</si>
  <si>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</si>
  <si>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</si>
  <si>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</si>
  <si>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</si>
  <si>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</si>
  <si>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</si>
  <si>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</si>
  <si>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</si>
  <si>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</si>
  <si>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</si>
  <si>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</si>
  <si>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</si>
  <si>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</si>
  <si>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</si>
  <si>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</si>
  <si>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</si>
  <si>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</si>
  <si>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</si>
  <si>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</si>
  <si>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</si>
  <si>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</si>
  <si>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</si>
  <si>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</si>
  <si>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</si>
  <si>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</si>
  <si>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</si>
  <si>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</si>
  <si>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</si>
  <si>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</si>
  <si>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</si>
  <si>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</si>
  <si>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</si>
  <si>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</si>
  <si>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</si>
  <si>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</si>
  <si>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</si>
  <si>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</si>
  <si>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</si>
  <si>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</si>
  <si>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</si>
  <si>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</si>
  <si>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</si>
  <si>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</si>
  <si>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</si>
  <si>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</si>
  <si>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</si>
  <si>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</si>
  <si>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</si>
  <si>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</si>
  <si>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</si>
  <si>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</si>
  <si>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</si>
  <si>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</si>
  <si>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</si>
  <si>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</si>
  <si>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</si>
  <si>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</si>
  <si>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</si>
  <si>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</si>
  <si>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</si>
  <si>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</si>
  <si>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</si>
  <si>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</si>
  <si>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</si>
  <si>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</si>
  <si>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</si>
  <si>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</si>
  <si>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</si>
  <si>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</si>
  <si>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</si>
  <si>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</si>
  <si>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</si>
  <si>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</si>
  <si>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</si>
  <si>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</si>
  <si>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</si>
  <si>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</si>
  <si>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</si>
  <si>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</si>
  <si>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</si>
  <si>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</si>
  <si>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</si>
  <si>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</si>
  <si>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</si>
  <si>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</si>
  <si>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</si>
  <si>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</si>
  <si>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</si>
  <si>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</si>
  <si>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</si>
  <si>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</si>
  <si>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</si>
  <si>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</si>
  <si>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</si>
  <si>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</si>
  <si>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</si>
  <si>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</si>
  <si>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</si>
  <si>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</si>
  <si>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</si>
  <si>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</si>
  <si>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</si>
  <si>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</si>
  <si>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</si>
  <si>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</si>
  <si>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</si>
  <si>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</si>
  <si>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</si>
  <si>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</si>
  <si>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</si>
  <si>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</si>
  <si>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</si>
  <si>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</si>
  <si>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</si>
  <si>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</si>
  <si>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</si>
  <si>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</si>
  <si>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</si>
  <si>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</si>
  <si>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</si>
  <si>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</si>
  <si>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</si>
  <si>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</si>
  <si>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</si>
  <si>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</si>
  <si>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</si>
  <si>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</si>
  <si>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</si>
  <si>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</si>
  <si>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</si>
  <si>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</si>
  <si>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</si>
  <si>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</si>
  <si>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</si>
  <si>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</si>
  <si>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</si>
  <si>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</si>
  <si>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</si>
  <si>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</si>
  <si>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</si>
  <si>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</si>
  <si>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</si>
  <si>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</si>
  <si>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</si>
  <si>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</si>
  <si>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</si>
  <si>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</si>
  <si>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</si>
  <si>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</si>
  <si>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</si>
  <si>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</si>
  <si>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</si>
  <si>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</si>
  <si>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</si>
  <si>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</si>
  <si>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</si>
  <si>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</si>
  <si>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</si>
  <si>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</si>
  <si>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</si>
  <si>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</si>
  <si>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</si>
  <si>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</si>
  <si>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</si>
  <si>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</si>
  <si>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</si>
  <si>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</si>
  <si>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</si>
  <si>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</si>
  <si>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</si>
  <si>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</si>
  <si>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</si>
  <si>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</si>
  <si>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</si>
  <si>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</si>
  <si>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</si>
  <si>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</si>
  <si>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</si>
  <si>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</si>
  <si>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17.09.15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</si>
</sst>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451613.3</v>
      </c>
      <c r="G8" s="18">
        <f aca="true" t="shared" si="0" ref="G8:G54">F8-E8</f>
        <v>-7139.200000000012</v>
      </c>
      <c r="H8" s="45">
        <f>F8/E8*100</f>
        <v>98.44377959793135</v>
      </c>
      <c r="I8" s="31">
        <f aca="true" t="shared" si="1" ref="I8:I54">F8-D8</f>
        <v>-120675.70000000001</v>
      </c>
      <c r="J8" s="31">
        <f aca="true" t="shared" si="2" ref="J8:J14">F8/D8*100</f>
        <v>78.91350349211675</v>
      </c>
      <c r="K8" s="18">
        <f>K9+K15+K18+K19+K20+K32</f>
        <v>92629.45600000003</v>
      </c>
      <c r="L8" s="18"/>
      <c r="M8" s="18">
        <f>M9+M15+M18+M19+M20+M32+M17</f>
        <v>45676.399999999994</v>
      </c>
      <c r="N8" s="18">
        <f>N9+N15+N18+N19+N20+N32+N17</f>
        <v>22101.19000000001</v>
      </c>
      <c r="O8" s="31">
        <f aca="true" t="shared" si="3" ref="O8:O54">N8-M8</f>
        <v>-23575.209999999985</v>
      </c>
      <c r="P8" s="31">
        <f>F8/M8*100</f>
        <v>988.723498349257</v>
      </c>
      <c r="Q8" s="31">
        <f>N8-33748.16</f>
        <v>-11646.969999999994</v>
      </c>
      <c r="R8" s="125">
        <f>N8/33748.16</f>
        <v>0.6548857774764612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250459.97</v>
      </c>
      <c r="G9" s="43">
        <f t="shared" si="0"/>
        <v>1845.4200000000128</v>
      </c>
      <c r="H9" s="35">
        <f aca="true" t="shared" si="4" ref="H9:H32">F9/E9*100</f>
        <v>100.74228157603808</v>
      </c>
      <c r="I9" s="50">
        <f t="shared" si="1"/>
        <v>-62230.03</v>
      </c>
      <c r="J9" s="50">
        <f t="shared" si="2"/>
        <v>80.0984905177652</v>
      </c>
      <c r="K9" s="132">
        <f>F9-282613.68/75*60</f>
        <v>24369.026000000013</v>
      </c>
      <c r="L9" s="132">
        <f>F9/(282613.68/75*60)*100</f>
        <v>110.77841755572484</v>
      </c>
      <c r="M9" s="35">
        <f>E9-серпень!E9</f>
        <v>26089.899999999994</v>
      </c>
      <c r="N9" s="35">
        <f>F9-серпень!F9</f>
        <v>16748.959999999992</v>
      </c>
      <c r="O9" s="47">
        <f t="shared" si="3"/>
        <v>-9340.940000000002</v>
      </c>
      <c r="P9" s="50">
        <f aca="true" t="shared" si="5" ref="P9:P32">N9/M9*100</f>
        <v>64.19710309353425</v>
      </c>
      <c r="Q9" s="132">
        <f>N9-26568.11</f>
        <v>-9819.150000000009</v>
      </c>
      <c r="R9" s="133">
        <f>N9/26568.11</f>
        <v>0.6304159385067283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221526.82</v>
      </c>
      <c r="G10" s="135">
        <f t="shared" si="0"/>
        <v>3036.570000000007</v>
      </c>
      <c r="H10" s="137">
        <f t="shared" si="4"/>
        <v>101.38979656986982</v>
      </c>
      <c r="I10" s="136">
        <f t="shared" si="1"/>
        <v>-18883.179999999993</v>
      </c>
      <c r="J10" s="136">
        <f t="shared" si="2"/>
        <v>92.14542656295495</v>
      </c>
      <c r="K10" s="138">
        <f>F10-251377.17/75*60</f>
        <v>20425.084000000003</v>
      </c>
      <c r="L10" s="138">
        <f>F10/(251377.17/75*60)*100</f>
        <v>110.15659258157771</v>
      </c>
      <c r="M10" s="137">
        <f>E10-серпень!E10</f>
        <v>22490</v>
      </c>
      <c r="N10" s="137">
        <f>F10-серпень!F10</f>
        <v>14908.610000000015</v>
      </c>
      <c r="O10" s="138">
        <f t="shared" si="3"/>
        <v>-7581.389999999985</v>
      </c>
      <c r="P10" s="136">
        <f t="shared" si="5"/>
        <v>66.28995108937312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13014.98</v>
      </c>
      <c r="G11" s="135">
        <f t="shared" si="0"/>
        <v>-3772.920000000002</v>
      </c>
      <c r="H11" s="137">
        <f t="shared" si="4"/>
        <v>77.52595619464017</v>
      </c>
      <c r="I11" s="136">
        <f t="shared" si="1"/>
        <v>-10685.02</v>
      </c>
      <c r="J11" s="136">
        <f t="shared" si="2"/>
        <v>54.91552742616034</v>
      </c>
      <c r="K11" s="138">
        <f>F11-18550.28/75*60</f>
        <v>-1825.2440000000006</v>
      </c>
      <c r="L11" s="138">
        <f>F11/(18550.28/75*60)*100</f>
        <v>87.7006977792249</v>
      </c>
      <c r="M11" s="137">
        <f>E11-серпень!E11</f>
        <v>2099.9000000000015</v>
      </c>
      <c r="N11" s="137">
        <f>F11-серпень!F11</f>
        <v>606.4200000000001</v>
      </c>
      <c r="O11" s="138">
        <f t="shared" si="3"/>
        <v>-1493.4800000000014</v>
      </c>
      <c r="P11" s="136">
        <f t="shared" si="5"/>
        <v>28.878518024667827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3516.27</v>
      </c>
      <c r="G12" s="135">
        <f t="shared" si="0"/>
        <v>-392.73</v>
      </c>
      <c r="H12" s="137">
        <f t="shared" si="4"/>
        <v>89.95318495778972</v>
      </c>
      <c r="I12" s="136">
        <f t="shared" si="1"/>
        <v>-2283.73</v>
      </c>
      <c r="J12" s="136">
        <f t="shared" si="2"/>
        <v>60.625344827586204</v>
      </c>
      <c r="K12" s="138">
        <f>F12-5298.15/75*60</f>
        <v>-722.2499999999995</v>
      </c>
      <c r="L12" s="138">
        <f>F12/(5298.15*60)*100</f>
        <v>1.1061313854836121</v>
      </c>
      <c r="M12" s="137">
        <f>E12-серпень!E12</f>
        <v>660</v>
      </c>
      <c r="N12" s="137">
        <f>F12-серпень!F12</f>
        <v>184.90999999999985</v>
      </c>
      <c r="O12" s="138">
        <f t="shared" si="3"/>
        <v>-475.09000000000015</v>
      </c>
      <c r="P12" s="136">
        <f t="shared" si="5"/>
        <v>28.016666666666644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5440.55</v>
      </c>
      <c r="G13" s="135">
        <f t="shared" si="0"/>
        <v>-782.8499999999995</v>
      </c>
      <c r="H13" s="137">
        <f t="shared" si="4"/>
        <v>87.42086319375262</v>
      </c>
      <c r="I13" s="136">
        <f t="shared" si="1"/>
        <v>-2959.45</v>
      </c>
      <c r="J13" s="136">
        <f t="shared" si="2"/>
        <v>64.76845238095238</v>
      </c>
      <c r="K13" s="138">
        <f>F13-7303.25/75*60</f>
        <v>-402.0500000000002</v>
      </c>
      <c r="L13" s="138">
        <f>F13/(7303.25/75*60)*100</f>
        <v>93.11864580837297</v>
      </c>
      <c r="M13" s="137">
        <f>E13-серпень!E13</f>
        <v>450</v>
      </c>
      <c r="N13" s="137">
        <f>F13-серпень!F13</f>
        <v>463.8200000000006</v>
      </c>
      <c r="O13" s="138">
        <f t="shared" si="3"/>
        <v>13.820000000000618</v>
      </c>
      <c r="P13" s="136">
        <f t="shared" si="5"/>
        <v>103.07111111111125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-670.52</v>
      </c>
      <c r="G15" s="43">
        <f t="shared" si="0"/>
        <v>-841.92</v>
      </c>
      <c r="H15" s="35"/>
      <c r="I15" s="50">
        <f t="shared" si="1"/>
        <v>-670.52</v>
      </c>
      <c r="J15" s="50" t="e">
        <f>F15/D15*100</f>
        <v>#DIV/0!</v>
      </c>
      <c r="K15" s="53">
        <f>F15-(-404.47)</f>
        <v>-266.04999999999995</v>
      </c>
      <c r="L15" s="53">
        <f>F15/(-404.47)*100</f>
        <v>165.7774371399609</v>
      </c>
      <c r="M15" s="35">
        <f>E15-серпень!E15</f>
        <v>0.09999999999999432</v>
      </c>
      <c r="N15" s="35">
        <f>F15-серпень!F15</f>
        <v>64.06000000000006</v>
      </c>
      <c r="O15" s="47">
        <f t="shared" si="3"/>
        <v>63.960000000000065</v>
      </c>
      <c r="P15" s="50"/>
      <c r="Q15" s="50">
        <f>N15-358.81</f>
        <v>-294.74999999999994</v>
      </c>
      <c r="R15" s="126">
        <f>N15/358.81</f>
        <v>0.17853460048493647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-1169.76</v>
      </c>
      <c r="G16" s="135">
        <f t="shared" si="0"/>
        <v>-1169.76</v>
      </c>
      <c r="H16" s="137"/>
      <c r="I16" s="136">
        <f t="shared" si="1"/>
        <v>-1169.76</v>
      </c>
      <c r="J16" s="136"/>
      <c r="K16" s="138">
        <f>F16-95.61</f>
        <v>-1265.37</v>
      </c>
      <c r="L16" s="138">
        <f>F16/95.61*100</f>
        <v>-1223.4703482899276</v>
      </c>
      <c r="M16" s="35">
        <f>E16-серпень!E16</f>
        <v>0</v>
      </c>
      <c r="N16" s="35">
        <f>F16-серпень!F16</f>
        <v>64.04999999999995</v>
      </c>
      <c r="O16" s="138">
        <f t="shared" si="3"/>
        <v>64.04999999999995</v>
      </c>
      <c r="P16" s="50"/>
      <c r="Q16" s="136">
        <f>N16-358.81</f>
        <v>-294.76000000000005</v>
      </c>
      <c r="R16" s="141">
        <f>N16/358.79</f>
        <v>0.17851668106691923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44677.98</v>
      </c>
      <c r="G19" s="43">
        <f t="shared" si="0"/>
        <v>-6044.769999999997</v>
      </c>
      <c r="H19" s="35">
        <f t="shared" si="4"/>
        <v>88.08272422137996</v>
      </c>
      <c r="I19" s="50">
        <f t="shared" si="1"/>
        <v>-17532.019999999997</v>
      </c>
      <c r="J19" s="178">
        <f>F19/D19*100</f>
        <v>71.81800353640895</v>
      </c>
      <c r="K19" s="179">
        <f>F19-0</f>
        <v>44677.98</v>
      </c>
      <c r="L19" s="180"/>
      <c r="M19" s="35">
        <f>E19-серпень!E19</f>
        <v>6800</v>
      </c>
      <c r="N19" s="35">
        <f>F19-серпень!F19</f>
        <v>800.3199999999997</v>
      </c>
      <c r="O19" s="47">
        <f t="shared" si="3"/>
        <v>-5999.68</v>
      </c>
      <c r="P19" s="50">
        <f t="shared" si="5"/>
        <v>11.769411764705879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151552.25</v>
      </c>
      <c r="G20" s="43">
        <f t="shared" si="0"/>
        <v>-1926.1499999999942</v>
      </c>
      <c r="H20" s="35">
        <f t="shared" si="4"/>
        <v>98.74500255410533</v>
      </c>
      <c r="I20" s="50">
        <f t="shared" si="1"/>
        <v>-38317.75</v>
      </c>
      <c r="J20" s="178">
        <f aca="true" t="shared" si="6" ref="J20:J46">F20/D20*100</f>
        <v>79.81895507452468</v>
      </c>
      <c r="K20" s="178">
        <f>K21+K25+K26+K27</f>
        <v>25627.16</v>
      </c>
      <c r="L20" s="136"/>
      <c r="M20" s="35">
        <f>E20-серпень!E20</f>
        <v>12786.100000000006</v>
      </c>
      <c r="N20" s="35">
        <f>F20-серпень!F20</f>
        <v>4484.080000000016</v>
      </c>
      <c r="O20" s="47">
        <f t="shared" si="3"/>
        <v>-8302.01999999999</v>
      </c>
      <c r="P20" s="50">
        <f t="shared" si="5"/>
        <v>35.069958783366424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81815.57</v>
      </c>
      <c r="G21" s="43">
        <f t="shared" si="0"/>
        <v>-4084.829999999987</v>
      </c>
      <c r="H21" s="35">
        <f t="shared" si="4"/>
        <v>95.24469036232661</v>
      </c>
      <c r="I21" s="50">
        <f t="shared" si="1"/>
        <v>-28484.429999999993</v>
      </c>
      <c r="J21" s="178">
        <f t="shared" si="6"/>
        <v>74.17549410698096</v>
      </c>
      <c r="K21" s="178">
        <f>K22+K23+K24</f>
        <v>20268.960000000003</v>
      </c>
      <c r="L21" s="136"/>
      <c r="M21" s="35">
        <f>E21-серпень!E21</f>
        <v>8720.099999999991</v>
      </c>
      <c r="N21" s="35">
        <f>F21-серпень!F21</f>
        <v>2016.6900000000023</v>
      </c>
      <c r="O21" s="47">
        <f t="shared" si="3"/>
        <v>-6703.409999999989</v>
      </c>
      <c r="P21" s="50">
        <f t="shared" si="5"/>
        <v>23.126913682182593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8984.04</v>
      </c>
      <c r="G22" s="135">
        <f t="shared" si="0"/>
        <v>189.64000000000124</v>
      </c>
      <c r="H22" s="137">
        <f t="shared" si="4"/>
        <v>102.15637223687804</v>
      </c>
      <c r="I22" s="136">
        <f t="shared" si="1"/>
        <v>-1715.9599999999991</v>
      </c>
      <c r="J22" s="136">
        <f t="shared" si="6"/>
        <v>83.96299065420561</v>
      </c>
      <c r="K22" s="136">
        <f>F22-314.15</f>
        <v>8669.890000000001</v>
      </c>
      <c r="L22" s="136">
        <f>F22/314.15*100</f>
        <v>2859.7930924717493</v>
      </c>
      <c r="M22" s="137">
        <f>E22-серпень!E22</f>
        <v>171.10000000000036</v>
      </c>
      <c r="N22" s="137">
        <f>F22-серпень!F22</f>
        <v>310.3000000000011</v>
      </c>
      <c r="O22" s="138">
        <f t="shared" si="3"/>
        <v>139.20000000000073</v>
      </c>
      <c r="P22" s="136">
        <f t="shared" si="5"/>
        <v>181.35593220339007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3256.53</v>
      </c>
      <c r="G23" s="135">
        <f t="shared" si="0"/>
        <v>1469.5300000000002</v>
      </c>
      <c r="H23" s="137"/>
      <c r="I23" s="136">
        <f t="shared" si="1"/>
        <v>1156.5300000000002</v>
      </c>
      <c r="J23" s="136">
        <f t="shared" si="6"/>
        <v>155.07285714285715</v>
      </c>
      <c r="K23" s="136">
        <f>F23-0</f>
        <v>3256.53</v>
      </c>
      <c r="L23" s="136"/>
      <c r="M23" s="137">
        <f>E23-серпень!E23</f>
        <v>309</v>
      </c>
      <c r="N23" s="137">
        <f>F23-серпень!F23</f>
        <v>139.58000000000038</v>
      </c>
      <c r="O23" s="138">
        <f t="shared" si="3"/>
        <v>-169.41999999999962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69575</v>
      </c>
      <c r="G24" s="135">
        <f t="shared" si="0"/>
        <v>-5744</v>
      </c>
      <c r="H24" s="137">
        <f t="shared" si="4"/>
        <v>92.3737702306191</v>
      </c>
      <c r="I24" s="136">
        <f t="shared" si="1"/>
        <v>-27925</v>
      </c>
      <c r="J24" s="136">
        <f t="shared" si="6"/>
        <v>71.35897435897436</v>
      </c>
      <c r="K24" s="224">
        <f>F24-61232.46</f>
        <v>8342.54</v>
      </c>
      <c r="L24" s="224">
        <f>F24/61232.46*100</f>
        <v>113.62437504552325</v>
      </c>
      <c r="M24" s="137">
        <f>E24-серпень!E24</f>
        <v>8240</v>
      </c>
      <c r="N24" s="137">
        <f>F24-серпень!F24</f>
        <v>1566.8099999999977</v>
      </c>
      <c r="O24" s="138">
        <f t="shared" si="3"/>
        <v>-6673.190000000002</v>
      </c>
      <c r="P24" s="136">
        <f t="shared" si="5"/>
        <v>19.01468446601939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48.85</v>
      </c>
      <c r="G25" s="43">
        <f t="shared" si="0"/>
        <v>7.350000000000001</v>
      </c>
      <c r="H25" s="35">
        <f t="shared" si="4"/>
        <v>117.71084337349397</v>
      </c>
      <c r="I25" s="50">
        <f t="shared" si="1"/>
        <v>-21.15</v>
      </c>
      <c r="J25" s="178">
        <f t="shared" si="6"/>
        <v>69.78571428571428</v>
      </c>
      <c r="K25" s="178">
        <f>F25-44.08</f>
        <v>4.770000000000003</v>
      </c>
      <c r="L25" s="178">
        <f>F25/44.08*100</f>
        <v>110.82123411978222</v>
      </c>
      <c r="M25" s="35">
        <f>E25-серпень!E25</f>
        <v>6</v>
      </c>
      <c r="N25" s="35">
        <f>F25-серпень!F25</f>
        <v>0</v>
      </c>
      <c r="O25" s="47">
        <f t="shared" si="3"/>
        <v>-6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-671.51</v>
      </c>
      <c r="G26" s="43">
        <f t="shared" si="0"/>
        <v>-671.51</v>
      </c>
      <c r="H26" s="35"/>
      <c r="I26" s="50">
        <f t="shared" si="1"/>
        <v>-671.51</v>
      </c>
      <c r="J26" s="136"/>
      <c r="K26" s="178">
        <f>F26-4797.94</f>
        <v>-5469.45</v>
      </c>
      <c r="L26" s="178">
        <f>F26/4797.94*100</f>
        <v>-13.995798196726096</v>
      </c>
      <c r="M26" s="35">
        <f>E26-серпень!E26</f>
        <v>0</v>
      </c>
      <c r="N26" s="35">
        <f>F26-серпень!F26</f>
        <v>-56.93999999999994</v>
      </c>
      <c r="O26" s="47">
        <f t="shared" si="3"/>
        <v>-56.93999999999994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70359.34</v>
      </c>
      <c r="G27" s="43">
        <f t="shared" si="0"/>
        <v>2822.8399999999965</v>
      </c>
      <c r="H27" s="35">
        <f t="shared" si="4"/>
        <v>104.17972503757227</v>
      </c>
      <c r="I27" s="50">
        <f t="shared" si="1"/>
        <v>-9140.660000000003</v>
      </c>
      <c r="J27" s="178">
        <f t="shared" si="6"/>
        <v>88.5023144654088</v>
      </c>
      <c r="K27" s="132">
        <f>F27-59536.46</f>
        <v>10822.879999999997</v>
      </c>
      <c r="L27" s="132">
        <f>F27/59536.46*100</f>
        <v>118.17857494382433</v>
      </c>
      <c r="M27" s="35">
        <f>E27-серпень!E27</f>
        <v>4060</v>
      </c>
      <c r="N27" s="35">
        <f>F27-серпень!F27</f>
        <v>2524.3300000000017</v>
      </c>
      <c r="O27" s="47">
        <f t="shared" si="3"/>
        <v>-1535.6699999999983</v>
      </c>
      <c r="P27" s="50">
        <f t="shared" si="5"/>
        <v>62.175615763546844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17221.15</v>
      </c>
      <c r="G29" s="135">
        <f t="shared" si="0"/>
        <v>441.15000000000146</v>
      </c>
      <c r="H29" s="137">
        <f t="shared" si="4"/>
        <v>102.62902264600714</v>
      </c>
      <c r="I29" s="136">
        <f t="shared" si="1"/>
        <v>-1978.8499999999985</v>
      </c>
      <c r="J29" s="136">
        <f t="shared" si="6"/>
        <v>89.69348958333335</v>
      </c>
      <c r="K29" s="139">
        <f>F29-16472.46</f>
        <v>748.6900000000023</v>
      </c>
      <c r="L29" s="139">
        <f>F29/16472.46*100</f>
        <v>104.54510133884072</v>
      </c>
      <c r="M29" s="137">
        <f>E29-серпень!E29</f>
        <v>1200</v>
      </c>
      <c r="N29" s="137">
        <f>F29-серпень!F29</f>
        <v>289.8199999999997</v>
      </c>
      <c r="O29" s="138">
        <f t="shared" si="3"/>
        <v>-910.1800000000003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53122.56</v>
      </c>
      <c r="G30" s="135">
        <f t="shared" si="0"/>
        <v>2366.0599999999977</v>
      </c>
      <c r="H30" s="137">
        <f t="shared" si="4"/>
        <v>104.66159014116418</v>
      </c>
      <c r="I30" s="136">
        <f t="shared" si="1"/>
        <v>-7177.440000000002</v>
      </c>
      <c r="J30" s="136">
        <f t="shared" si="6"/>
        <v>88.09711442786069</v>
      </c>
      <c r="K30" s="139">
        <f>F30-43062.79</f>
        <v>10059.769999999997</v>
      </c>
      <c r="L30" s="139">
        <f>F30/43062.79*100</f>
        <v>123.36070189599883</v>
      </c>
      <c r="M30" s="137">
        <f>E30-серпень!E30</f>
        <v>2860</v>
      </c>
      <c r="N30" s="137">
        <f>F30-серпень!F30</f>
        <v>2234.489999999998</v>
      </c>
      <c r="O30" s="138">
        <f t="shared" si="3"/>
        <v>-625.510000000002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5577.73</v>
      </c>
      <c r="G32" s="43">
        <f t="shared" si="0"/>
        <v>-174.67000000000007</v>
      </c>
      <c r="H32" s="35">
        <f t="shared" si="4"/>
        <v>96.96352826646269</v>
      </c>
      <c r="I32" s="50">
        <f t="shared" si="1"/>
        <v>-1922.2700000000004</v>
      </c>
      <c r="J32" s="178">
        <f t="shared" si="6"/>
        <v>74.36973333333333</v>
      </c>
      <c r="K32" s="178">
        <f>F32-7368.88</f>
        <v>-1791.1500000000005</v>
      </c>
      <c r="L32" s="178">
        <f>F32/7368.88*100</f>
        <v>75.69304969004787</v>
      </c>
      <c r="M32" s="35">
        <f>E32-серпень!E32</f>
        <v>0.2999999999992724</v>
      </c>
      <c r="N32" s="35">
        <f>F32-серпень!F32</f>
        <v>3.769999999999527</v>
      </c>
      <c r="O32" s="47">
        <f t="shared" si="3"/>
        <v>3.4700000000002547</v>
      </c>
      <c r="P32" s="50">
        <f t="shared" si="5"/>
        <v>1256.666666669557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22950</v>
      </c>
      <c r="F33" s="18">
        <f>F34+F35+F36+F37+F38+F41+F42+F47+F48+F52+F40+F39</f>
        <v>27581.56</v>
      </c>
      <c r="G33" s="44">
        <f t="shared" si="0"/>
        <v>4631.560000000001</v>
      </c>
      <c r="H33" s="45">
        <f>F33/E33*100</f>
        <v>120.18108932461875</v>
      </c>
      <c r="I33" s="31">
        <f t="shared" si="1"/>
        <v>-1125.5399999999972</v>
      </c>
      <c r="J33" s="31">
        <f t="shared" si="6"/>
        <v>96.07922778685413</v>
      </c>
      <c r="K33" s="18">
        <f>K34+K35+K36+K37+K38+K41+K42+K47+K48+K52+K40</f>
        <v>17823.37</v>
      </c>
      <c r="L33" s="18"/>
      <c r="M33" s="18">
        <f>M34+M35+M36+M37+M38+M41+M42+M47+M48+M52+M40+M39</f>
        <v>2859.8</v>
      </c>
      <c r="N33" s="18">
        <f>N34+N35+N36+N37+N38+N41+N42+N47+N48+N52+N40+N39</f>
        <v>5974.209999999999</v>
      </c>
      <c r="O33" s="49">
        <f t="shared" si="3"/>
        <v>3114.409999999999</v>
      </c>
      <c r="P33" s="31">
        <f>N33/M33*100</f>
        <v>208.90307014476534</v>
      </c>
      <c r="Q33" s="31">
        <f>N33-1017.63</f>
        <v>4956.579999999999</v>
      </c>
      <c r="R33" s="127">
        <f>N33/1017.63</f>
        <v>5.8707093933944545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450</v>
      </c>
      <c r="F35" s="143">
        <v>4154.01</v>
      </c>
      <c r="G35" s="43">
        <f t="shared" si="0"/>
        <v>3704.01</v>
      </c>
      <c r="H35" s="35"/>
      <c r="I35" s="50">
        <f t="shared" si="1"/>
        <v>3154.01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250</v>
      </c>
      <c r="N35" s="35">
        <f>F35-серпень!F35</f>
        <v>3952.6400000000003</v>
      </c>
      <c r="O35" s="47">
        <f t="shared" si="3"/>
        <v>3702.6400000000003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319.89</v>
      </c>
      <c r="G36" s="43">
        <f t="shared" si="0"/>
        <v>79.88999999999999</v>
      </c>
      <c r="H36" s="35"/>
      <c r="I36" s="50">
        <f t="shared" si="1"/>
        <v>79.88999999999999</v>
      </c>
      <c r="J36" s="50"/>
      <c r="K36" s="50">
        <f>F36-272.25</f>
        <v>47.639999999999986</v>
      </c>
      <c r="L36" s="50">
        <f>F36/272.25*100</f>
        <v>117.49862258953168</v>
      </c>
      <c r="M36" s="35">
        <f>E36-серпень!E36</f>
        <v>0</v>
      </c>
      <c r="N36" s="35">
        <f>F36-серпень!F36</f>
        <v>12.689999999999998</v>
      </c>
      <c r="O36" s="47">
        <f t="shared" si="3"/>
        <v>12.689999999999998</v>
      </c>
      <c r="P36" s="50"/>
      <c r="Q36" s="50">
        <f>N36-4.23</f>
        <v>8.459999999999997</v>
      </c>
      <c r="R36" s="126">
        <f>N36/4.23</f>
        <v>2.999999999999999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111.18</v>
      </c>
      <c r="G38" s="43">
        <f t="shared" si="0"/>
        <v>6.180000000000007</v>
      </c>
      <c r="H38" s="35">
        <f>F38/E38*100</f>
        <v>105.8857142857143</v>
      </c>
      <c r="I38" s="50">
        <f t="shared" si="1"/>
        <v>-28.819999999999993</v>
      </c>
      <c r="J38" s="50">
        <f t="shared" si="6"/>
        <v>79.41428571428571</v>
      </c>
      <c r="K38" s="50">
        <f>F38-97.95</f>
        <v>13.230000000000004</v>
      </c>
      <c r="L38" s="50">
        <f>F38/97.95*100</f>
        <v>113.50689127105666</v>
      </c>
      <c r="M38" s="35">
        <f>E38-серпень!E38</f>
        <v>15</v>
      </c>
      <c r="N38" s="35">
        <f>F38-серпень!F38</f>
        <v>7.1200000000000045</v>
      </c>
      <c r="O38" s="47">
        <f t="shared" si="3"/>
        <v>-7.8799999999999955</v>
      </c>
      <c r="P38" s="50">
        <f>N38/M38*100</f>
        <v>47.4666666666667</v>
      </c>
      <c r="Q38" s="50">
        <f>N38-9.02</f>
        <v>-1.899999999999995</v>
      </c>
      <c r="R38" s="126">
        <f>N38/9.02</f>
        <v>0.7893569844789362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E39-серпень!E39</f>
        <v>0</v>
      </c>
      <c r="N39" s="35">
        <f>F39-серпень!F39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7273.54</v>
      </c>
      <c r="G40" s="43"/>
      <c r="H40" s="35"/>
      <c r="I40" s="50">
        <f t="shared" si="1"/>
        <v>-1726.46</v>
      </c>
      <c r="J40" s="50"/>
      <c r="K40" s="50">
        <f>F40-0</f>
        <v>7273.54</v>
      </c>
      <c r="L40" s="50"/>
      <c r="M40" s="35">
        <f>E40-серпень!E40</f>
        <v>1000</v>
      </c>
      <c r="N40" s="35">
        <f>F40-серпень!F40</f>
        <v>501.4899999999998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6785.06</v>
      </c>
      <c r="G41" s="43">
        <f t="shared" si="0"/>
        <v>1565.0600000000004</v>
      </c>
      <c r="H41" s="35">
        <f>F41/E41*100</f>
        <v>129.98199233716477</v>
      </c>
      <c r="I41" s="50">
        <f t="shared" si="1"/>
        <v>-114.9399999999996</v>
      </c>
      <c r="J41" s="50">
        <f t="shared" si="6"/>
        <v>98.33420289855073</v>
      </c>
      <c r="K41" s="50">
        <f>F41-5365.42</f>
        <v>1419.6400000000003</v>
      </c>
      <c r="L41" s="50">
        <f>F41/5365.42*100</f>
        <v>126.45906564630542</v>
      </c>
      <c r="M41" s="35">
        <f>E41-серпень!E41</f>
        <v>600</v>
      </c>
      <c r="N41" s="35">
        <f>F41-серпень!F41</f>
        <v>920.21</v>
      </c>
      <c r="O41" s="47">
        <f t="shared" si="3"/>
        <v>320.21000000000004</v>
      </c>
      <c r="P41" s="50">
        <f>N41/M41*100</f>
        <v>153.36833333333334</v>
      </c>
      <c r="Q41" s="50">
        <f>N41-647.49</f>
        <v>272.72</v>
      </c>
      <c r="R41" s="126">
        <f>N41/647.49</f>
        <v>1.4211956941419945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5527.58</v>
      </c>
      <c r="G42" s="43">
        <f t="shared" si="0"/>
        <v>-271.4200000000001</v>
      </c>
      <c r="H42" s="35">
        <f>F42/E42*100</f>
        <v>95.31953785135367</v>
      </c>
      <c r="I42" s="50">
        <f t="shared" si="1"/>
        <v>-1572.42</v>
      </c>
      <c r="J42" s="50">
        <f t="shared" si="6"/>
        <v>77.85323943661972</v>
      </c>
      <c r="K42" s="50">
        <f>F42-782.38</f>
        <v>4745.2</v>
      </c>
      <c r="L42" s="50">
        <f>F42/782.38*100</f>
        <v>706.5083463278713</v>
      </c>
      <c r="M42" s="35">
        <f>E42-серпень!E42</f>
        <v>604.3000000000002</v>
      </c>
      <c r="N42" s="35">
        <f>F42-серпень!F42</f>
        <v>306.14999999999964</v>
      </c>
      <c r="O42" s="47">
        <f t="shared" si="3"/>
        <v>-298.15000000000055</v>
      </c>
      <c r="P42" s="50">
        <f>N42/M42*100</f>
        <v>50.661922885983714</v>
      </c>
      <c r="Q42" s="50">
        <f>N42-79.51</f>
        <v>226.63999999999965</v>
      </c>
      <c r="R42" s="126">
        <f>N42/79.51</f>
        <v>3.850459061753234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779.48</v>
      </c>
      <c r="G43" s="135">
        <f t="shared" si="0"/>
        <v>-60.51999999999998</v>
      </c>
      <c r="H43" s="137">
        <f>F43/E43*100</f>
        <v>92.79523809523809</v>
      </c>
      <c r="I43" s="136">
        <f t="shared" si="1"/>
        <v>-320.52</v>
      </c>
      <c r="J43" s="136">
        <f t="shared" si="6"/>
        <v>70.86181818181818</v>
      </c>
      <c r="K43" s="136">
        <f>F43-687.25</f>
        <v>92.23000000000002</v>
      </c>
      <c r="L43" s="136">
        <f>F43/687.25*100</f>
        <v>113.42015278283013</v>
      </c>
      <c r="M43" s="35">
        <f>E43-серпень!E43</f>
        <v>80</v>
      </c>
      <c r="N43" s="35">
        <f>F43-серпень!F43</f>
        <v>44.35000000000002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44.04</v>
      </c>
      <c r="G44" s="135">
        <f t="shared" si="0"/>
        <v>-15.96</v>
      </c>
      <c r="H44" s="137"/>
      <c r="I44" s="136">
        <f t="shared" si="1"/>
        <v>-35.96</v>
      </c>
      <c r="J44" s="136"/>
      <c r="K44" s="136">
        <f>F44-0</f>
        <v>44.04</v>
      </c>
      <c r="L44" s="136"/>
      <c r="M44" s="35">
        <f>E44-серпень!E44</f>
        <v>10</v>
      </c>
      <c r="N44" s="35">
        <f>F44-серпень!F44</f>
        <v>-1.4100000000000037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4703.31</v>
      </c>
      <c r="G46" s="135">
        <f t="shared" si="0"/>
        <v>-194.6899999999996</v>
      </c>
      <c r="H46" s="137">
        <f>F46/E46*100</f>
        <v>96.02511229073092</v>
      </c>
      <c r="I46" s="136">
        <f t="shared" si="1"/>
        <v>-1214.6899999999996</v>
      </c>
      <c r="J46" s="136">
        <f t="shared" si="6"/>
        <v>79.47465359918893</v>
      </c>
      <c r="K46" s="136">
        <f>F46-95.13</f>
        <v>4608.18</v>
      </c>
      <c r="L46" s="136">
        <f>F46/95.13*100</f>
        <v>4944.087038789026</v>
      </c>
      <c r="M46" s="35">
        <f>E46-серпень!E46</f>
        <v>514</v>
      </c>
      <c r="N46" s="35">
        <f>F46-серпень!F46</f>
        <v>263.2000000000007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3466.56</v>
      </c>
      <c r="G48" s="43">
        <f t="shared" si="0"/>
        <v>376.55999999999995</v>
      </c>
      <c r="H48" s="35">
        <f>F48/E48*100</f>
        <v>112.1864077669903</v>
      </c>
      <c r="I48" s="50">
        <f t="shared" si="1"/>
        <v>-733.44</v>
      </c>
      <c r="J48" s="50">
        <f>F48/D48*100</f>
        <v>82.53714285714285</v>
      </c>
      <c r="K48" s="50">
        <f>F48-3093.83</f>
        <v>372.73</v>
      </c>
      <c r="L48" s="50">
        <f>F48/3093.83*100</f>
        <v>112.04752685183091</v>
      </c>
      <c r="M48" s="35">
        <f>E48-серпень!E48</f>
        <v>390</v>
      </c>
      <c r="N48" s="35">
        <f>F48-серпень!F48</f>
        <v>273.90999999999985</v>
      </c>
      <c r="O48" s="47">
        <f t="shared" si="3"/>
        <v>-116.09000000000015</v>
      </c>
      <c r="P48" s="50">
        <f aca="true" t="shared" si="7" ref="P48:P53">N48/M48*100</f>
        <v>70.23333333333329</v>
      </c>
      <c r="Q48" s="50">
        <f>N48-277.38</f>
        <v>-3.470000000000141</v>
      </c>
      <c r="R48" s="126">
        <f>N48/277.38</f>
        <v>0.9874900858028692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961.2</v>
      </c>
      <c r="G51" s="135">
        <f t="shared" si="0"/>
        <v>961.2</v>
      </c>
      <c r="H51" s="137"/>
      <c r="I51" s="136">
        <f t="shared" si="1"/>
        <v>961.2</v>
      </c>
      <c r="J51" s="136"/>
      <c r="K51" s="219">
        <f>F51-758.38</f>
        <v>202.82000000000005</v>
      </c>
      <c r="L51" s="219">
        <f>F51/758.38*100</f>
        <v>126.74384873018805</v>
      </c>
      <c r="M51" s="35">
        <f>E51-серпень!E51</f>
        <v>0</v>
      </c>
      <c r="N51" s="35">
        <f>F51-серпень!F51</f>
        <v>70.60000000000002</v>
      </c>
      <c r="O51" s="138">
        <f t="shared" si="3"/>
        <v>70.60000000000002</v>
      </c>
      <c r="P51" s="136"/>
      <c r="Q51" s="50">
        <f>N51-64.93</f>
        <v>5.670000000000016</v>
      </c>
      <c r="R51" s="126">
        <f>N51/64.93</f>
        <v>1.0873248113352845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481721.9</v>
      </c>
      <c r="F55" s="18">
        <f>F8+F33+F53+F54</f>
        <v>479209.58999999997</v>
      </c>
      <c r="G55" s="44">
        <f>F55-E55</f>
        <v>-2512.310000000056</v>
      </c>
      <c r="H55" s="45">
        <f>F55/E55*100</f>
        <v>99.4784729529631</v>
      </c>
      <c r="I55" s="31">
        <f>F55-D55</f>
        <v>-121813.01000000001</v>
      </c>
      <c r="J55" s="31">
        <f>F55/D55*100</f>
        <v>79.73237445646802</v>
      </c>
      <c r="K55" s="31">
        <f>K8+K33+K53+K54</f>
        <v>110447.28600000004</v>
      </c>
      <c r="L55" s="31">
        <f>F55/(F55-K55)*100</f>
        <v>129.95080701090316</v>
      </c>
      <c r="M55" s="18">
        <f>M8+M33+M53+M54</f>
        <v>48538.399999999994</v>
      </c>
      <c r="N55" s="18">
        <f>N8+N33+N53+N54</f>
        <v>28075.40000000001</v>
      </c>
      <c r="O55" s="49">
        <f>N55-M55</f>
        <v>-20462.999999999985</v>
      </c>
      <c r="P55" s="31">
        <f>N55/M55*100</f>
        <v>57.841626423615146</v>
      </c>
      <c r="Q55" s="31">
        <f>N55-34768</f>
        <v>-6692.599999999991</v>
      </c>
      <c r="R55" s="171">
        <f>N55/34768</f>
        <v>0.8075069028992179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593.05</v>
      </c>
      <c r="G64" s="43">
        <f t="shared" si="8"/>
        <v>-1006.95</v>
      </c>
      <c r="H64" s="35"/>
      <c r="I64" s="53">
        <f t="shared" si="9"/>
        <v>-1906.95</v>
      </c>
      <c r="J64" s="53">
        <f t="shared" si="11"/>
        <v>23.721999999999998</v>
      </c>
      <c r="K64" s="53">
        <f>F64-1754.73</f>
        <v>-1161.68</v>
      </c>
      <c r="L64" s="53">
        <f>F64/1754.73*100</f>
        <v>33.79722236469428</v>
      </c>
      <c r="M64" s="35">
        <f>E64-серпень!E64</f>
        <v>600</v>
      </c>
      <c r="N64" s="35">
        <f>F64-серпень!F64</f>
        <v>0.029999999999972715</v>
      </c>
      <c r="O64" s="47">
        <f t="shared" si="10"/>
        <v>-599.97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3948.27</v>
      </c>
      <c r="G65" s="43">
        <f t="shared" si="8"/>
        <v>-1513.8899999999999</v>
      </c>
      <c r="H65" s="35">
        <f>F65/E65*100</f>
        <v>72.28404147809658</v>
      </c>
      <c r="I65" s="53">
        <f t="shared" si="9"/>
        <v>-7627.73</v>
      </c>
      <c r="J65" s="53">
        <f t="shared" si="11"/>
        <v>34.107377332411886</v>
      </c>
      <c r="K65" s="53">
        <f>F65-2393.24</f>
        <v>1555.0300000000002</v>
      </c>
      <c r="L65" s="53">
        <f>F65/2393.24*100</f>
        <v>164.97593220905554</v>
      </c>
      <c r="M65" s="35">
        <f>E65-серпень!E65</f>
        <v>728.7200000000003</v>
      </c>
      <c r="N65" s="35">
        <f>F65-серпень!F65</f>
        <v>189.6300000000001</v>
      </c>
      <c r="O65" s="47">
        <f t="shared" si="10"/>
        <v>-539.0900000000001</v>
      </c>
      <c r="P65" s="53">
        <f>N65/M65*100</f>
        <v>26.022340542320787</v>
      </c>
      <c r="Q65" s="53">
        <f>N65-450.01</f>
        <v>-260.3799999999999</v>
      </c>
      <c r="R65" s="129">
        <f>N65/450.01</f>
        <v>0.42139063576364993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1838.86</v>
      </c>
      <c r="G66" s="43">
        <f t="shared" si="8"/>
        <v>654.06</v>
      </c>
      <c r="H66" s="35">
        <f>F66/E66*100</f>
        <v>155.20425388251184</v>
      </c>
      <c r="I66" s="53">
        <f t="shared" si="9"/>
        <v>-1161.14</v>
      </c>
      <c r="J66" s="53">
        <f t="shared" si="11"/>
        <v>61.29533333333333</v>
      </c>
      <c r="K66" s="53">
        <f>F66-1074.91</f>
        <v>763.9499999999998</v>
      </c>
      <c r="L66" s="53">
        <f>F66/1074.91*100</f>
        <v>171.07106641486263</v>
      </c>
      <c r="M66" s="35">
        <f>E66-серпень!E66</f>
        <v>148.0999999999999</v>
      </c>
      <c r="N66" s="35">
        <f>F66-серпень!F66</f>
        <v>0.2199999999997999</v>
      </c>
      <c r="O66" s="47">
        <f t="shared" si="10"/>
        <v>-147.8800000000001</v>
      </c>
      <c r="P66" s="53">
        <f>N66/M66*100</f>
        <v>0.14854827819027686</v>
      </c>
      <c r="Q66" s="53">
        <f>N66-1.05</f>
        <v>-0.8300000000002001</v>
      </c>
      <c r="R66" s="129">
        <f>N66/1.05</f>
        <v>0.20952380952361896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6380.179999999999</v>
      </c>
      <c r="G67" s="55">
        <f t="shared" si="8"/>
        <v>-1866.7799999999997</v>
      </c>
      <c r="H67" s="65">
        <f>F67/E67*100</f>
        <v>77.36402262166908</v>
      </c>
      <c r="I67" s="54">
        <f t="shared" si="9"/>
        <v>-10695.82</v>
      </c>
      <c r="J67" s="54">
        <f t="shared" si="11"/>
        <v>37.36343405949871</v>
      </c>
      <c r="K67" s="54">
        <f>K64+K65+K66</f>
        <v>1157.3</v>
      </c>
      <c r="L67" s="54"/>
      <c r="M67" s="55">
        <f>M64+M65+M66</f>
        <v>1476.8200000000002</v>
      </c>
      <c r="N67" s="55">
        <f>N64+N65+N66</f>
        <v>189.87999999999988</v>
      </c>
      <c r="O67" s="54">
        <f t="shared" si="10"/>
        <v>-1286.9400000000003</v>
      </c>
      <c r="P67" s="54">
        <f>N67/M67*100</f>
        <v>12.857355669614432</v>
      </c>
      <c r="Q67" s="54">
        <f>N67-7985.28</f>
        <v>-7795.4</v>
      </c>
      <c r="R67" s="173">
        <f>N67/7985.28</f>
        <v>0.023778752905345823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F68-24.17</f>
        <v>-23.990000000000002</v>
      </c>
      <c r="L68" s="53">
        <f>F68/24.17*100</f>
        <v>0.7447248655357881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F70-1.08</f>
        <v>-0.20000000000000007</v>
      </c>
      <c r="L70" s="53">
        <f>F70/1.08*100</f>
        <v>81.48148148148148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-43.67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F72-31.86</f>
        <v>-10.8</v>
      </c>
      <c r="L72" s="53">
        <f>F72/31.86*100</f>
        <v>66.10169491525424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6350.799999999999</v>
      </c>
      <c r="G74" s="44">
        <f>F74-E74</f>
        <v>-1965.3799999999992</v>
      </c>
      <c r="H74" s="45">
        <f>F74/E74*100</f>
        <v>76.3667934075501</v>
      </c>
      <c r="I74" s="31">
        <f>F74-D74</f>
        <v>-10821.2</v>
      </c>
      <c r="J74" s="31">
        <f>F74/D74*100</f>
        <v>36.983461448870244</v>
      </c>
      <c r="K74" s="31">
        <f>K62+K67+K71+K72</f>
        <v>813.97</v>
      </c>
      <c r="L74" s="31"/>
      <c r="M74" s="27">
        <f>M62+M72+M67+M71</f>
        <v>1495.8200000000002</v>
      </c>
      <c r="N74" s="27">
        <f>N62+N72+N67+N71+N73</f>
        <v>187.3699999999999</v>
      </c>
      <c r="O74" s="31">
        <f>N74-M74</f>
        <v>-1308.4500000000003</v>
      </c>
      <c r="P74" s="31">
        <f>N74/M74*100</f>
        <v>12.526239788209804</v>
      </c>
      <c r="Q74" s="31">
        <f>N74-8104.96</f>
        <v>-7917.59</v>
      </c>
      <c r="R74" s="127">
        <f>N74/8104.96</f>
        <v>0.0231179425931775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490038.08</v>
      </c>
      <c r="F75" s="27">
        <f>F55+F74</f>
        <v>485560.38999999996</v>
      </c>
      <c r="G75" s="44">
        <f>F75-E75</f>
        <v>-4477.6900000000605</v>
      </c>
      <c r="H75" s="45">
        <f>F75/E75*100</f>
        <v>99.08625672519163</v>
      </c>
      <c r="I75" s="31">
        <f>F75-D75</f>
        <v>-132634.21000000002</v>
      </c>
      <c r="J75" s="31">
        <f>F75/D75*100</f>
        <v>78.54490964495645</v>
      </c>
      <c r="K75" s="31">
        <f>K55+K74</f>
        <v>111261.25600000004</v>
      </c>
      <c r="L75" s="31">
        <f>F75/(F75-K75)*100</f>
        <v>129.72522399691152</v>
      </c>
      <c r="M75" s="18">
        <f>M55+M74</f>
        <v>50034.219999999994</v>
      </c>
      <c r="N75" s="18">
        <f>N55+N74</f>
        <v>28262.770000000008</v>
      </c>
      <c r="O75" s="31">
        <f>N75-M75</f>
        <v>-21771.449999999986</v>
      </c>
      <c r="P75" s="31">
        <f>N75/M75*100</f>
        <v>56.48688037906858</v>
      </c>
      <c r="Q75" s="31">
        <f>N75-42872.96</f>
        <v>-14610.189999999991</v>
      </c>
      <c r="R75" s="127">
        <f>N75/42872.96</f>
        <v>0.6592213367119977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9</v>
      </c>
      <c r="D77" s="4" t="s">
        <v>118</v>
      </c>
    </row>
    <row r="78" spans="2:17" ht="31.5">
      <c r="B78" s="71" t="s">
        <v>154</v>
      </c>
      <c r="C78" s="34">
        <f>IF(O55&lt;0,ABS(O55/C77),0)</f>
        <v>2273.666666666665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42264</v>
      </c>
      <c r="D79" s="34">
        <v>1593.7</v>
      </c>
      <c r="G79" s="4" t="s">
        <v>166</v>
      </c>
      <c r="N79" s="252"/>
      <c r="O79" s="252"/>
    </row>
    <row r="80" spans="3:15" ht="15.75">
      <c r="C80" s="111">
        <v>42263</v>
      </c>
      <c r="D80" s="34">
        <v>1780.5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42262</v>
      </c>
      <c r="D81" s="34">
        <v>2579.6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3143.13414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9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0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2015-09-18T09:15:47Z</cp:lastPrinted>
  <dcterms:created xsi:type="dcterms:W3CDTF">2003-07-28T11:27:56Z</dcterms:created>
  <dcterms:modified xsi:type="dcterms:W3CDTF">2015-09-18T09:29:33Z</dcterms:modified>
  <cp:category/>
  <cp:version/>
  <cp:contentType/>
  <cp:contentStatus/>
</cp:coreProperties>
</file>